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22980" windowHeight="10056"/>
  </bookViews>
  <sheets>
    <sheet name="Pinnacle Clad" sheetId="1" r:id="rId1"/>
    <sheet name="Pinnacle Primed" sheetId="2" r:id="rId2"/>
  </sheets>
  <calcPr calcId="145621"/>
</workbook>
</file>

<file path=xl/calcChain.xml><?xml version="1.0" encoding="utf-8"?>
<calcChain xmlns="http://schemas.openxmlformats.org/spreadsheetml/2006/main">
  <c r="E67" i="2" l="1"/>
  <c r="E66" i="2"/>
  <c r="E65" i="2"/>
  <c r="E64" i="2"/>
  <c r="E63" i="2"/>
  <c r="E62" i="2"/>
  <c r="E61" i="2"/>
  <c r="E60" i="2"/>
  <c r="E59" i="2"/>
  <c r="E58" i="2"/>
  <c r="E57" i="2"/>
  <c r="E56" i="2"/>
  <c r="G37" i="2"/>
  <c r="K54" i="2"/>
  <c r="J54" i="2"/>
  <c r="I54" i="2"/>
  <c r="H54" i="2"/>
  <c r="G54" i="2"/>
  <c r="K55" i="2"/>
  <c r="J55" i="2"/>
  <c r="I55" i="2"/>
  <c r="H55" i="2"/>
  <c r="G55" i="2"/>
  <c r="F55" i="2"/>
  <c r="F54" i="2"/>
  <c r="E50" i="2"/>
  <c r="E48" i="2"/>
  <c r="E46" i="2"/>
  <c r="E44" i="2"/>
  <c r="E42" i="2"/>
  <c r="E40" i="2"/>
  <c r="E49" i="2"/>
  <c r="E47" i="2"/>
  <c r="E45" i="2"/>
  <c r="E43" i="2"/>
  <c r="E41" i="2"/>
  <c r="E39" i="2"/>
  <c r="K38" i="2"/>
  <c r="J38" i="2"/>
  <c r="I38" i="2"/>
  <c r="H38" i="2"/>
  <c r="G38" i="2"/>
  <c r="K37" i="2"/>
  <c r="J37" i="2"/>
  <c r="I37" i="2"/>
  <c r="H37" i="2"/>
  <c r="F38" i="2"/>
  <c r="F37" i="2"/>
  <c r="E33" i="2"/>
  <c r="E31" i="2"/>
  <c r="E29" i="2"/>
  <c r="E27" i="2"/>
  <c r="E25" i="2"/>
  <c r="E23" i="2"/>
  <c r="K21" i="2"/>
  <c r="J21" i="2"/>
  <c r="I21" i="2"/>
  <c r="H21" i="2"/>
  <c r="G21" i="2"/>
  <c r="F21" i="2"/>
  <c r="F20" i="2"/>
  <c r="E16" i="2"/>
  <c r="E14" i="2"/>
  <c r="E12" i="2"/>
  <c r="E10" i="2"/>
  <c r="E8" i="2"/>
  <c r="E6" i="2"/>
  <c r="K4" i="2"/>
  <c r="J4" i="2"/>
  <c r="I4" i="2"/>
  <c r="H4" i="2"/>
  <c r="G4" i="2"/>
  <c r="F4" i="2"/>
  <c r="E32" i="2"/>
  <c r="K20" i="2"/>
  <c r="J20" i="2"/>
  <c r="E30" i="2"/>
  <c r="E28" i="2"/>
  <c r="E26" i="2"/>
  <c r="I20" i="2"/>
  <c r="H20" i="2"/>
  <c r="E24" i="2"/>
  <c r="E22" i="2"/>
  <c r="G20" i="2"/>
  <c r="E15" i="2"/>
  <c r="E13" i="2"/>
  <c r="E11" i="2"/>
  <c r="E9" i="2"/>
  <c r="E7" i="2"/>
  <c r="K3" i="2"/>
  <c r="J3" i="2"/>
  <c r="I3" i="2"/>
  <c r="H3" i="2"/>
  <c r="G3" i="2"/>
  <c r="E5" i="2"/>
  <c r="F3" i="2"/>
  <c r="E21" i="1"/>
  <c r="E19" i="1"/>
  <c r="E17" i="1"/>
  <c r="H15" i="1"/>
  <c r="G15" i="1"/>
  <c r="F15" i="1"/>
  <c r="E20" i="1"/>
  <c r="E18" i="1"/>
  <c r="E16" i="1"/>
  <c r="H14" i="1"/>
  <c r="G14" i="1"/>
  <c r="F14" i="1"/>
  <c r="E10" i="1"/>
  <c r="E8" i="1"/>
  <c r="E6" i="1"/>
  <c r="H4" i="1"/>
  <c r="G4" i="1"/>
  <c r="F4" i="1"/>
  <c r="E9" i="1"/>
  <c r="E7" i="1"/>
  <c r="E5" i="1"/>
  <c r="H3" i="1"/>
  <c r="G3" i="1"/>
  <c r="F3" i="1"/>
</calcChain>
</file>

<file path=xl/sharedStrings.xml><?xml version="1.0" encoding="utf-8"?>
<sst xmlns="http://schemas.openxmlformats.org/spreadsheetml/2006/main" count="155" uniqueCount="18">
  <si>
    <t>Clad Windows</t>
  </si>
  <si>
    <t>Frame</t>
  </si>
  <si>
    <t>Input</t>
  </si>
  <si>
    <t>Width</t>
  </si>
  <si>
    <t>Height</t>
  </si>
  <si>
    <t>Output</t>
  </si>
  <si>
    <t>Clad Doors</t>
  </si>
  <si>
    <t>Select Subsill:</t>
  </si>
  <si>
    <t>Williamsburg</t>
  </si>
  <si>
    <t>3-1/2 Flat</t>
  </si>
  <si>
    <t>180 W/Flange</t>
  </si>
  <si>
    <t>5-1/2 Flat</t>
  </si>
  <si>
    <t>Standard</t>
  </si>
  <si>
    <t>Primed Double Hung</t>
  </si>
  <si>
    <t>4-1/2 BB</t>
  </si>
  <si>
    <t>Primed Casement, Awning, Direct Set</t>
  </si>
  <si>
    <t>Primed Sliding Door</t>
  </si>
  <si>
    <t>Primed Swing Door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</si>
</sst>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2" borderId="1" xfId="0" applyFill="1" applyBorder="1" applyAlignment="1">
      <alignment horizontal="center"/>
    </xf>
    <xf numFmtId="0" fontId="0" fillId="5" borderId="1" xfId="0" applyFill="1" applyBorder="1"/>
    <xf numFmtId="0" fontId="0" fillId="5" borderId="8" xfId="0" applyFill="1" applyBorder="1" applyAlignment="1">
      <alignment horizontal="center"/>
    </xf>
    <xf numFmtId="0" fontId="0" fillId="5" borderId="1" xfId="0" applyFill="1" applyBorder="1" applyAlignment="1">
      <alignment horizontal="center" vertical="center"/>
    </xf>
    <xf numFmtId="0" fontId="0" fillId="5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NumberFormat="1" applyFont="1" applyFill="1" applyBorder="1" applyAlignment="1">
      <alignment horizontal="center" vertical="center"/>
    </xf>
    <xf numFmtId="0" fontId="0" fillId="7" borderId="8" xfId="0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 vertical="center"/>
    </xf>
    <xf numFmtId="0" fontId="0" fillId="7" borderId="1" xfId="0" applyNumberForma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2" fontId="2" fillId="6" borderId="8" xfId="0" applyNumberFormat="1" applyFont="1" applyFill="1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2" fillId="6" borderId="8" xfId="0" applyNumberFormat="1" applyFont="1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2" fillId="7" borderId="11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2" fillId="7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K9" sqref="K9"/>
    </sheetView>
  </sheetViews>
  <sheetFormatPr defaultRowHeight="14.4" x14ac:dyDescent="0.3"/>
  <cols>
    <col min="1" max="1" width="6" customWidth="1"/>
    <col min="2" max="2" width="11.44140625" bestFit="1" customWidth="1"/>
    <col min="6" max="6" width="10.109375" bestFit="1" customWidth="1"/>
    <col min="7" max="7" width="11.44140625" bestFit="1" customWidth="1"/>
  </cols>
  <sheetData>
    <row r="1" spans="1:8" ht="14.4" customHeight="1" x14ac:dyDescent="0.3">
      <c r="A1" s="30" t="s">
        <v>0</v>
      </c>
      <c r="B1" s="37" t="s">
        <v>2</v>
      </c>
      <c r="C1" s="37"/>
      <c r="D1" s="37"/>
      <c r="E1" s="31" t="s">
        <v>5</v>
      </c>
      <c r="F1" s="32"/>
      <c r="G1" s="32"/>
      <c r="H1" s="33"/>
    </row>
    <row r="2" spans="1:8" x14ac:dyDescent="0.3">
      <c r="A2" s="30"/>
      <c r="B2" s="36" t="s">
        <v>7</v>
      </c>
      <c r="C2" s="36"/>
      <c r="D2" s="16">
        <v>0.375</v>
      </c>
      <c r="E2" s="11" t="s">
        <v>1</v>
      </c>
      <c r="F2" s="5">
        <v>180</v>
      </c>
      <c r="G2" s="12" t="s">
        <v>8</v>
      </c>
      <c r="H2" s="4" t="s">
        <v>9</v>
      </c>
    </row>
    <row r="3" spans="1:8" x14ac:dyDescent="0.3">
      <c r="A3" s="30"/>
      <c r="B3" s="34" t="s">
        <v>1</v>
      </c>
      <c r="C3" s="1" t="s">
        <v>3</v>
      </c>
      <c r="D3" s="17"/>
      <c r="E3" s="2"/>
      <c r="F3" s="6">
        <f>D3+2.812</f>
        <v>2.8119999999999998</v>
      </c>
      <c r="G3" s="13">
        <f>D3+6.5</f>
        <v>6.5</v>
      </c>
      <c r="H3" s="6">
        <f>D3+5.876</f>
        <v>5.8760000000000003</v>
      </c>
    </row>
    <row r="4" spans="1:8" x14ac:dyDescent="0.3">
      <c r="A4" s="30"/>
      <c r="B4" s="34"/>
      <c r="C4" s="1" t="s">
        <v>4</v>
      </c>
      <c r="D4" s="17"/>
      <c r="E4" s="2"/>
      <c r="F4" s="7">
        <f>D4+1.406+D2</f>
        <v>1.7809999999999999</v>
      </c>
      <c r="G4" s="14">
        <f>D4+3.25+D2</f>
        <v>3.625</v>
      </c>
      <c r="H4" s="7">
        <f>D4+2.938+D2</f>
        <v>3.3130000000000002</v>
      </c>
    </row>
    <row r="5" spans="1:8" x14ac:dyDescent="0.3">
      <c r="A5" s="30"/>
      <c r="B5" s="35">
        <v>180</v>
      </c>
      <c r="C5" s="3" t="s">
        <v>3</v>
      </c>
      <c r="D5" s="18"/>
      <c r="E5" s="6">
        <f>D5-2.812</f>
        <v>-2.8119999999999998</v>
      </c>
      <c r="F5" s="2"/>
      <c r="G5" s="2"/>
      <c r="H5" s="2"/>
    </row>
    <row r="6" spans="1:8" x14ac:dyDescent="0.3">
      <c r="A6" s="30"/>
      <c r="B6" s="35"/>
      <c r="C6" s="3" t="s">
        <v>4</v>
      </c>
      <c r="D6" s="18"/>
      <c r="E6" s="7">
        <f>D6-1.406-D2</f>
        <v>-1.7809999999999999</v>
      </c>
      <c r="F6" s="2"/>
      <c r="G6" s="2"/>
      <c r="H6" s="2"/>
    </row>
    <row r="7" spans="1:8" x14ac:dyDescent="0.3">
      <c r="A7" s="30"/>
      <c r="B7" s="20" t="s">
        <v>8</v>
      </c>
      <c r="C7" s="1" t="s">
        <v>3</v>
      </c>
      <c r="D7" s="17"/>
      <c r="E7" s="13">
        <f>D7-6.5</f>
        <v>-6.5</v>
      </c>
      <c r="F7" s="2"/>
      <c r="G7" s="2"/>
      <c r="H7" s="2"/>
    </row>
    <row r="8" spans="1:8" x14ac:dyDescent="0.3">
      <c r="A8" s="30"/>
      <c r="B8" s="21"/>
      <c r="C8" s="1" t="s">
        <v>4</v>
      </c>
      <c r="D8" s="17"/>
      <c r="E8" s="14">
        <f>D8-3.25-D2</f>
        <v>-3.625</v>
      </c>
      <c r="F8" s="2"/>
      <c r="G8" s="2"/>
      <c r="H8" s="2"/>
    </row>
    <row r="9" spans="1:8" x14ac:dyDescent="0.3">
      <c r="A9" s="30"/>
      <c r="B9" s="22" t="s">
        <v>9</v>
      </c>
      <c r="C9" s="3" t="s">
        <v>3</v>
      </c>
      <c r="D9" s="18"/>
      <c r="E9" s="6">
        <f>D9-5.876</f>
        <v>-5.8760000000000003</v>
      </c>
      <c r="F9" s="2"/>
      <c r="G9" s="2"/>
      <c r="H9" s="2"/>
    </row>
    <row r="10" spans="1:8" x14ac:dyDescent="0.3">
      <c r="A10" s="30"/>
      <c r="B10" s="23"/>
      <c r="C10" s="3" t="s">
        <v>4</v>
      </c>
      <c r="D10" s="18"/>
      <c r="E10" s="7">
        <f>D10-2.938-D2</f>
        <v>-3.3130000000000002</v>
      </c>
      <c r="F10" s="2"/>
      <c r="G10" s="2"/>
      <c r="H10" s="2"/>
    </row>
    <row r="12" spans="1:8" x14ac:dyDescent="0.3">
      <c r="A12" s="30" t="s">
        <v>6</v>
      </c>
      <c r="B12" s="24" t="s">
        <v>2</v>
      </c>
      <c r="C12" s="25"/>
      <c r="D12" s="26"/>
      <c r="E12" s="31" t="s">
        <v>5</v>
      </c>
      <c r="F12" s="32"/>
      <c r="G12" s="32"/>
      <c r="H12" s="33"/>
    </row>
    <row r="13" spans="1:8" x14ac:dyDescent="0.3">
      <c r="A13" s="30"/>
      <c r="B13" s="27"/>
      <c r="C13" s="28"/>
      <c r="D13" s="29"/>
      <c r="E13" s="11" t="s">
        <v>1</v>
      </c>
      <c r="F13" s="5">
        <v>180</v>
      </c>
      <c r="G13" s="12" t="s">
        <v>8</v>
      </c>
      <c r="H13" s="4" t="s">
        <v>9</v>
      </c>
    </row>
    <row r="14" spans="1:8" x14ac:dyDescent="0.3">
      <c r="A14" s="30"/>
      <c r="B14" s="34" t="s">
        <v>1</v>
      </c>
      <c r="C14" s="1" t="s">
        <v>3</v>
      </c>
      <c r="D14" s="17"/>
      <c r="E14" s="2"/>
      <c r="F14" s="6">
        <f>D14+2.812</f>
        <v>2.8119999999999998</v>
      </c>
      <c r="G14" s="13">
        <f>D14+6.5</f>
        <v>6.5</v>
      </c>
      <c r="H14" s="6">
        <f>D14+5.876</f>
        <v>5.8760000000000003</v>
      </c>
    </row>
    <row r="15" spans="1:8" x14ac:dyDescent="0.3">
      <c r="A15" s="30"/>
      <c r="B15" s="34"/>
      <c r="C15" s="1" t="s">
        <v>4</v>
      </c>
      <c r="D15" s="17"/>
      <c r="E15" s="2"/>
      <c r="F15" s="7">
        <f>D15+1.406</f>
        <v>1.4059999999999999</v>
      </c>
      <c r="G15" s="14">
        <f>D15+3.25</f>
        <v>3.25</v>
      </c>
      <c r="H15" s="7">
        <f>D15+2.938</f>
        <v>2.9380000000000002</v>
      </c>
    </row>
    <row r="16" spans="1:8" x14ac:dyDescent="0.3">
      <c r="A16" s="30"/>
      <c r="B16" s="35">
        <v>180</v>
      </c>
      <c r="C16" s="3" t="s">
        <v>3</v>
      </c>
      <c r="D16" s="18"/>
      <c r="E16" s="7">
        <f>D16-2.812</f>
        <v>-2.8119999999999998</v>
      </c>
      <c r="F16" s="2"/>
      <c r="G16" s="2"/>
      <c r="H16" s="2"/>
    </row>
    <row r="17" spans="1:8" x14ac:dyDescent="0.3">
      <c r="A17" s="30"/>
      <c r="B17" s="35"/>
      <c r="C17" s="3" t="s">
        <v>4</v>
      </c>
      <c r="D17" s="18"/>
      <c r="E17" s="7">
        <f>D17-1.406</f>
        <v>-1.4059999999999999</v>
      </c>
      <c r="F17" s="2"/>
      <c r="G17" s="2"/>
      <c r="H17" s="2"/>
    </row>
    <row r="18" spans="1:8" x14ac:dyDescent="0.3">
      <c r="A18" s="30"/>
      <c r="B18" s="20" t="s">
        <v>8</v>
      </c>
      <c r="C18" s="1" t="s">
        <v>3</v>
      </c>
      <c r="D18" s="17"/>
      <c r="E18" s="14">
        <f>D18-6.5</f>
        <v>-6.5</v>
      </c>
      <c r="F18" s="2"/>
      <c r="G18" s="2"/>
      <c r="H18" s="2"/>
    </row>
    <row r="19" spans="1:8" x14ac:dyDescent="0.3">
      <c r="A19" s="30"/>
      <c r="B19" s="21"/>
      <c r="C19" s="1" t="s">
        <v>4</v>
      </c>
      <c r="D19" s="17"/>
      <c r="E19" s="14">
        <f>D19-3.25</f>
        <v>-3.25</v>
      </c>
      <c r="F19" s="2"/>
      <c r="G19" s="2"/>
      <c r="H19" s="2"/>
    </row>
    <row r="20" spans="1:8" x14ac:dyDescent="0.3">
      <c r="A20" s="30"/>
      <c r="B20" s="22" t="s">
        <v>9</v>
      </c>
      <c r="C20" s="3" t="s">
        <v>3</v>
      </c>
      <c r="D20" s="18"/>
      <c r="E20" s="7">
        <f>D20-5.876</f>
        <v>-5.8760000000000003</v>
      </c>
      <c r="F20" s="2"/>
      <c r="G20" s="2"/>
      <c r="H20" s="2"/>
    </row>
    <row r="21" spans="1:8" x14ac:dyDescent="0.3">
      <c r="A21" s="30"/>
      <c r="B21" s="23"/>
      <c r="C21" s="3" t="s">
        <v>4</v>
      </c>
      <c r="D21" s="18"/>
      <c r="E21" s="7">
        <f>D21-2.938</f>
        <v>-2.9380000000000002</v>
      </c>
      <c r="F21" s="2"/>
      <c r="G21" s="2"/>
      <c r="H21" s="2"/>
    </row>
  </sheetData>
  <sheetProtection sheet="1" objects="1" scenarios="1"/>
  <mergeCells count="15">
    <mergeCell ref="A1:A10"/>
    <mergeCell ref="E1:H1"/>
    <mergeCell ref="A12:A21"/>
    <mergeCell ref="E12:H12"/>
    <mergeCell ref="B14:B15"/>
    <mergeCell ref="B16:B17"/>
    <mergeCell ref="B2:C2"/>
    <mergeCell ref="B1:D1"/>
    <mergeCell ref="B3:B4"/>
    <mergeCell ref="B5:B6"/>
    <mergeCell ref="B18:B19"/>
    <mergeCell ref="B20:B21"/>
    <mergeCell ref="B12:D13"/>
    <mergeCell ref="B7:B8"/>
    <mergeCell ref="B9:B10"/>
  </mergeCells>
  <dataValidations count="1">
    <dataValidation type="list" allowBlank="1" showInputMessage="1" showErrorMessage="1" sqref="D2">
      <formula1>".375,1.25,2.25"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D5" sqref="D5"/>
    </sheetView>
  </sheetViews>
  <sheetFormatPr defaultRowHeight="14.4" x14ac:dyDescent="0.3"/>
  <cols>
    <col min="1" max="1" width="6" customWidth="1"/>
    <col min="2" max="2" width="11.44140625" bestFit="1" customWidth="1"/>
    <col min="4" max="4" width="8.6640625" bestFit="1" customWidth="1"/>
    <col min="6" max="6" width="10.109375" bestFit="1" customWidth="1"/>
    <col min="7" max="7" width="12.21875" bestFit="1" customWidth="1"/>
    <col min="8" max="8" width="11.44140625" bestFit="1" customWidth="1"/>
  </cols>
  <sheetData>
    <row r="1" spans="1:11" ht="14.4" customHeight="1" x14ac:dyDescent="0.3">
      <c r="A1" s="38" t="s">
        <v>15</v>
      </c>
      <c r="B1" s="37" t="s">
        <v>2</v>
      </c>
      <c r="C1" s="37"/>
      <c r="D1" s="37"/>
      <c r="E1" s="41" t="s">
        <v>5</v>
      </c>
      <c r="F1" s="41"/>
      <c r="G1" s="41"/>
      <c r="H1" s="41"/>
      <c r="I1" s="41"/>
      <c r="J1" s="41"/>
      <c r="K1" s="41"/>
    </row>
    <row r="2" spans="1:11" x14ac:dyDescent="0.3">
      <c r="A2" s="39"/>
      <c r="B2" s="36" t="s">
        <v>7</v>
      </c>
      <c r="C2" s="36"/>
      <c r="D2" s="19" t="s">
        <v>12</v>
      </c>
      <c r="E2" s="11" t="s">
        <v>1</v>
      </c>
      <c r="F2" s="5">
        <v>180</v>
      </c>
      <c r="G2" s="12" t="s">
        <v>10</v>
      </c>
      <c r="H2" s="4" t="s">
        <v>8</v>
      </c>
      <c r="I2" s="13" t="s">
        <v>9</v>
      </c>
      <c r="J2" s="6" t="s">
        <v>14</v>
      </c>
      <c r="K2" s="13" t="s">
        <v>11</v>
      </c>
    </row>
    <row r="3" spans="1:11" x14ac:dyDescent="0.3">
      <c r="A3" s="39"/>
      <c r="B3" s="34" t="s">
        <v>1</v>
      </c>
      <c r="C3" s="1" t="s">
        <v>3</v>
      </c>
      <c r="D3" s="17">
        <v>20</v>
      </c>
      <c r="E3" s="15"/>
      <c r="F3" s="6">
        <f>D3+2.812</f>
        <v>22.812000000000001</v>
      </c>
      <c r="G3" s="13">
        <f>D3+4.596</f>
        <v>24.596</v>
      </c>
      <c r="H3" s="6">
        <f>D3+5.376</f>
        <v>25.376000000000001</v>
      </c>
      <c r="I3" s="13">
        <f>D3+5.876</f>
        <v>25.876000000000001</v>
      </c>
      <c r="J3" s="6">
        <f>D3+7.876</f>
        <v>27.876000000000001</v>
      </c>
      <c r="K3" s="13">
        <f>D3+9.876</f>
        <v>29.875999999999998</v>
      </c>
    </row>
    <row r="4" spans="1:11" x14ac:dyDescent="0.3">
      <c r="A4" s="39"/>
      <c r="B4" s="34"/>
      <c r="C4" s="1" t="s">
        <v>4</v>
      </c>
      <c r="D4" s="17">
        <v>40</v>
      </c>
      <c r="E4" s="15"/>
      <c r="F4" s="7">
        <f>IF(D2="Standard",D4+2.406,D4+3.406)</f>
        <v>42.405999999999999</v>
      </c>
      <c r="G4" s="14">
        <f>IF(D2="Standard",D4+3.298,D4+4.298)</f>
        <v>43.298000000000002</v>
      </c>
      <c r="H4" s="7">
        <f>IF(D2="Standard",D4+3.688,D4+4.688)</f>
        <v>43.688000000000002</v>
      </c>
      <c r="I4" s="14">
        <f>IF(D2="Standard",D4+3.938,D4+4.938)</f>
        <v>43.938000000000002</v>
      </c>
      <c r="J4" s="7">
        <f>IF(D2="Standard",D4+4.938,D4+5.938)</f>
        <v>44.938000000000002</v>
      </c>
      <c r="K4" s="14">
        <f>IF(D2="Standard",D4+5.938,D4+6.938)</f>
        <v>45.938000000000002</v>
      </c>
    </row>
    <row r="5" spans="1:11" x14ac:dyDescent="0.3">
      <c r="A5" s="39"/>
      <c r="B5" s="35">
        <v>180</v>
      </c>
      <c r="C5" s="3" t="s">
        <v>3</v>
      </c>
      <c r="D5" s="18"/>
      <c r="E5" s="9">
        <f>D5-2.812</f>
        <v>-2.8119999999999998</v>
      </c>
      <c r="F5" s="8"/>
      <c r="G5" s="8"/>
      <c r="H5" s="8"/>
      <c r="I5" s="8"/>
      <c r="J5" s="8"/>
      <c r="K5" s="8"/>
    </row>
    <row r="6" spans="1:11" x14ac:dyDescent="0.3">
      <c r="A6" s="39"/>
      <c r="B6" s="35"/>
      <c r="C6" s="3" t="s">
        <v>4</v>
      </c>
      <c r="D6" s="18"/>
      <c r="E6" s="10">
        <f>IF(D2="Standard",D6-2.406,D6-3.406)</f>
        <v>-2.4060000000000001</v>
      </c>
      <c r="F6" s="8"/>
      <c r="G6" s="8"/>
      <c r="H6" s="8"/>
      <c r="I6" s="8"/>
      <c r="J6" s="8"/>
      <c r="K6" s="8"/>
    </row>
    <row r="7" spans="1:11" x14ac:dyDescent="0.3">
      <c r="A7" s="39"/>
      <c r="B7" s="20" t="s">
        <v>10</v>
      </c>
      <c r="C7" s="1" t="s">
        <v>3</v>
      </c>
      <c r="D7" s="17"/>
      <c r="E7" s="13">
        <f>D7-4.596</f>
        <v>-4.5960000000000001</v>
      </c>
      <c r="F7" s="8"/>
      <c r="G7" s="8"/>
      <c r="H7" s="8"/>
      <c r="I7" s="8"/>
      <c r="J7" s="8"/>
      <c r="K7" s="8"/>
    </row>
    <row r="8" spans="1:11" x14ac:dyDescent="0.3">
      <c r="A8" s="39"/>
      <c r="B8" s="21"/>
      <c r="C8" s="1" t="s">
        <v>4</v>
      </c>
      <c r="D8" s="17"/>
      <c r="E8" s="14">
        <f>IF(D2="Standard",D8-3.298,D8-4.298)</f>
        <v>-3.298</v>
      </c>
      <c r="F8" s="8"/>
      <c r="G8" s="8"/>
      <c r="H8" s="8"/>
      <c r="I8" s="8"/>
      <c r="J8" s="8"/>
      <c r="K8" s="8"/>
    </row>
    <row r="9" spans="1:11" x14ac:dyDescent="0.3">
      <c r="A9" s="39"/>
      <c r="B9" s="22" t="s">
        <v>8</v>
      </c>
      <c r="C9" s="3" t="s">
        <v>3</v>
      </c>
      <c r="D9" s="18"/>
      <c r="E9" s="6">
        <f>D9-5.376</f>
        <v>-5.3760000000000003</v>
      </c>
      <c r="F9" s="8"/>
      <c r="G9" s="8"/>
      <c r="H9" s="8"/>
      <c r="I9" s="8"/>
      <c r="J9" s="8"/>
      <c r="K9" s="8"/>
    </row>
    <row r="10" spans="1:11" x14ac:dyDescent="0.3">
      <c r="A10" s="39"/>
      <c r="B10" s="23"/>
      <c r="C10" s="3" t="s">
        <v>4</v>
      </c>
      <c r="D10" s="18"/>
      <c r="E10" s="7">
        <f>IF(D2="Standard",D10-3.688,D10-4.688)</f>
        <v>-3.6880000000000002</v>
      </c>
      <c r="F10" s="8"/>
      <c r="G10" s="8"/>
      <c r="H10" s="8"/>
      <c r="I10" s="8"/>
      <c r="J10" s="8"/>
      <c r="K10" s="8"/>
    </row>
    <row r="11" spans="1:11" x14ac:dyDescent="0.3">
      <c r="A11" s="39"/>
      <c r="B11" s="20" t="s">
        <v>9</v>
      </c>
      <c r="C11" s="1" t="s">
        <v>3</v>
      </c>
      <c r="D11" s="17"/>
      <c r="E11" s="13">
        <f>D11-5.876</f>
        <v>-5.8760000000000003</v>
      </c>
      <c r="F11" s="8"/>
      <c r="G11" s="8"/>
      <c r="H11" s="8"/>
      <c r="I11" s="8"/>
      <c r="J11" s="8"/>
      <c r="K11" s="8"/>
    </row>
    <row r="12" spans="1:11" x14ac:dyDescent="0.3">
      <c r="A12" s="39"/>
      <c r="B12" s="21"/>
      <c r="C12" s="1" t="s">
        <v>4</v>
      </c>
      <c r="D12" s="17"/>
      <c r="E12" s="14">
        <f>IF(D2="Standard",D12-3.938,D12-4.938)</f>
        <v>-3.9380000000000002</v>
      </c>
      <c r="F12" s="8"/>
      <c r="G12" s="8"/>
      <c r="H12" s="8"/>
      <c r="I12" s="8"/>
      <c r="J12" s="8"/>
      <c r="K12" s="8"/>
    </row>
    <row r="13" spans="1:11" x14ac:dyDescent="0.3">
      <c r="A13" s="39"/>
      <c r="B13" s="22" t="s">
        <v>14</v>
      </c>
      <c r="C13" s="3" t="s">
        <v>3</v>
      </c>
      <c r="D13" s="18"/>
      <c r="E13" s="6">
        <f>D13-7.876</f>
        <v>-7.8760000000000003</v>
      </c>
      <c r="F13" s="8"/>
      <c r="G13" s="8"/>
      <c r="H13" s="8"/>
      <c r="I13" s="8"/>
      <c r="J13" s="8"/>
      <c r="K13" s="8"/>
    </row>
    <row r="14" spans="1:11" x14ac:dyDescent="0.3">
      <c r="A14" s="39"/>
      <c r="B14" s="23"/>
      <c r="C14" s="3" t="s">
        <v>4</v>
      </c>
      <c r="D14" s="18"/>
      <c r="E14" s="7">
        <f>IF(D2="Standard",D14-4.938,D14-5.938)</f>
        <v>-4.9379999999999997</v>
      </c>
      <c r="F14" s="8"/>
      <c r="G14" s="8"/>
      <c r="H14" s="8"/>
      <c r="I14" s="8"/>
      <c r="J14" s="8"/>
      <c r="K14" s="8"/>
    </row>
    <row r="15" spans="1:11" x14ac:dyDescent="0.3">
      <c r="A15" s="39"/>
      <c r="B15" s="20" t="s">
        <v>11</v>
      </c>
      <c r="C15" s="1" t="s">
        <v>3</v>
      </c>
      <c r="D15" s="17"/>
      <c r="E15" s="13">
        <f>D15-9.876</f>
        <v>-9.8759999999999994</v>
      </c>
      <c r="F15" s="8"/>
      <c r="G15" s="8"/>
      <c r="H15" s="8"/>
      <c r="I15" s="8"/>
      <c r="J15" s="8"/>
      <c r="K15" s="8"/>
    </row>
    <row r="16" spans="1:11" x14ac:dyDescent="0.3">
      <c r="A16" s="40"/>
      <c r="B16" s="21"/>
      <c r="C16" s="1" t="s">
        <v>4</v>
      </c>
      <c r="D16" s="17"/>
      <c r="E16" s="14">
        <f>IF(D2="Standard",D16-5.938,D16-6.938)</f>
        <v>-5.9379999999999997</v>
      </c>
      <c r="F16" s="8"/>
      <c r="G16" s="8"/>
      <c r="H16" s="8"/>
      <c r="I16" s="8"/>
      <c r="J16" s="8"/>
      <c r="K16" s="8"/>
    </row>
    <row r="18" spans="1:11" x14ac:dyDescent="0.3">
      <c r="A18" s="38" t="s">
        <v>13</v>
      </c>
      <c r="B18" s="37" t="s">
        <v>2</v>
      </c>
      <c r="C18" s="37"/>
      <c r="D18" s="37"/>
      <c r="E18" s="41" t="s">
        <v>5</v>
      </c>
      <c r="F18" s="41"/>
      <c r="G18" s="41"/>
      <c r="H18" s="41"/>
      <c r="I18" s="41"/>
      <c r="J18" s="41"/>
      <c r="K18" s="41"/>
    </row>
    <row r="19" spans="1:11" x14ac:dyDescent="0.3">
      <c r="A19" s="39"/>
      <c r="B19" s="36" t="s">
        <v>7</v>
      </c>
      <c r="C19" s="36"/>
      <c r="D19" s="19" t="s">
        <v>12</v>
      </c>
      <c r="E19" s="11" t="s">
        <v>1</v>
      </c>
      <c r="F19" s="5">
        <v>180</v>
      </c>
      <c r="G19" s="12" t="s">
        <v>10</v>
      </c>
      <c r="H19" s="4" t="s">
        <v>8</v>
      </c>
      <c r="I19" s="13" t="s">
        <v>9</v>
      </c>
      <c r="J19" s="6" t="s">
        <v>14</v>
      </c>
      <c r="K19" s="13" t="s">
        <v>11</v>
      </c>
    </row>
    <row r="20" spans="1:11" x14ac:dyDescent="0.3">
      <c r="A20" s="39"/>
      <c r="B20" s="34" t="s">
        <v>1</v>
      </c>
      <c r="C20" s="1" t="s">
        <v>3</v>
      </c>
      <c r="D20" s="17"/>
      <c r="E20" s="8"/>
      <c r="F20" s="6">
        <f>D20+2.594</f>
        <v>2.5939999999999999</v>
      </c>
      <c r="G20" s="13">
        <f>D20+4.596</f>
        <v>4.5960000000000001</v>
      </c>
      <c r="H20" s="6">
        <f>D20+5.126</f>
        <v>5.1260000000000003</v>
      </c>
      <c r="I20" s="13">
        <f>D20+5.626</f>
        <v>5.6260000000000003</v>
      </c>
      <c r="J20" s="6">
        <f>D20+7.626</f>
        <v>7.6260000000000003</v>
      </c>
      <c r="K20" s="13">
        <f>D20+9.626</f>
        <v>9.6259999999999994</v>
      </c>
    </row>
    <row r="21" spans="1:11" x14ac:dyDescent="0.3">
      <c r="A21" s="39"/>
      <c r="B21" s="34"/>
      <c r="C21" s="1" t="s">
        <v>4</v>
      </c>
      <c r="D21" s="17"/>
      <c r="E21" s="8"/>
      <c r="F21" s="7">
        <f>IF(D19="Standard",D21+1.547,IF(D19="Bullnose",D21+2.485,IF(D19="Belly",D21+2.578,"")))</f>
        <v>1.5469999999999999</v>
      </c>
      <c r="G21" s="14">
        <f>IF(D19="Standard",D21+2.548,IF(D19="Bullnose",D21+3.486,IF(D19="Belly",D21+3.579,"")))</f>
        <v>2.548</v>
      </c>
      <c r="H21" s="7">
        <f>IF(D19="Standard",D21+2.813,IF(D19="Bullnose",D21+3.751,IF(D19="Belly",D21+3.844,"")))</f>
        <v>2.8130000000000002</v>
      </c>
      <c r="I21" s="13">
        <f>IF(D19="Standard",D21+3.063,IF(D19="Bullnose",D21+4.001,IF(D19="Belly",D21+4.094,"")))</f>
        <v>3.0630000000000002</v>
      </c>
      <c r="J21" s="6">
        <f>IF(D19="Standard",D21+4.063,IF(D19="Bullnose",D21+5.001,IF(D19="Belly",D21+5.094,"")))</f>
        <v>4.0629999999999997</v>
      </c>
      <c r="K21" s="13">
        <f>IF(D19="Standard",D21+5.063,IF(D19="Bullnose",D21+6.001,IF(D19="Belly",D21+6.094,"")))</f>
        <v>5.0629999999999997</v>
      </c>
    </row>
    <row r="22" spans="1:11" x14ac:dyDescent="0.3">
      <c r="A22" s="39"/>
      <c r="B22" s="35">
        <v>180</v>
      </c>
      <c r="C22" s="3" t="s">
        <v>3</v>
      </c>
      <c r="D22" s="18"/>
      <c r="E22" s="6">
        <f>D22-2.812</f>
        <v>-2.8119999999999998</v>
      </c>
      <c r="F22" s="8"/>
      <c r="G22" s="8"/>
      <c r="H22" s="8"/>
      <c r="I22" s="8"/>
      <c r="J22" s="8"/>
      <c r="K22" s="8"/>
    </row>
    <row r="23" spans="1:11" x14ac:dyDescent="0.3">
      <c r="A23" s="39"/>
      <c r="B23" s="35"/>
      <c r="C23" s="3" t="s">
        <v>4</v>
      </c>
      <c r="D23" s="18"/>
      <c r="E23" s="7">
        <f>IF(D19="Standard",D23-1.547,IF(D19="Bullnose",D23-2.485,IF(D19="Belly",D23-0.578,"")))</f>
        <v>-1.5469999999999999</v>
      </c>
      <c r="F23" s="8"/>
      <c r="G23" s="8"/>
      <c r="H23" s="8"/>
      <c r="I23" s="8"/>
      <c r="J23" s="8"/>
      <c r="K23" s="8"/>
    </row>
    <row r="24" spans="1:11" x14ac:dyDescent="0.3">
      <c r="A24" s="39"/>
      <c r="B24" s="20" t="s">
        <v>10</v>
      </c>
      <c r="C24" s="1" t="s">
        <v>3</v>
      </c>
      <c r="D24" s="17"/>
      <c r="E24" s="13">
        <f>D24-4.596</f>
        <v>-4.5960000000000001</v>
      </c>
      <c r="F24" s="8"/>
      <c r="G24" s="8"/>
      <c r="H24" s="8"/>
      <c r="I24" s="8"/>
      <c r="J24" s="8"/>
      <c r="K24" s="8"/>
    </row>
    <row r="25" spans="1:11" x14ac:dyDescent="0.3">
      <c r="A25" s="39"/>
      <c r="B25" s="21"/>
      <c r="C25" s="1" t="s">
        <v>4</v>
      </c>
      <c r="D25" s="17"/>
      <c r="E25" s="14">
        <f>IF(D19="Standard",D25-2.548,IF(D19="Bullnose",D25-3.486,IF(D19="Belly",D25-3.579,"")))</f>
        <v>-2.548</v>
      </c>
      <c r="F25" s="8"/>
      <c r="G25" s="8"/>
      <c r="H25" s="8"/>
      <c r="I25" s="8"/>
      <c r="J25" s="8"/>
      <c r="K25" s="8"/>
    </row>
    <row r="26" spans="1:11" x14ac:dyDescent="0.3">
      <c r="A26" s="39"/>
      <c r="B26" s="22" t="s">
        <v>8</v>
      </c>
      <c r="C26" s="3" t="s">
        <v>3</v>
      </c>
      <c r="D26" s="18"/>
      <c r="E26" s="6">
        <f>D26-5.126</f>
        <v>-5.1260000000000003</v>
      </c>
      <c r="F26" s="8"/>
      <c r="G26" s="8"/>
      <c r="H26" s="8"/>
      <c r="I26" s="8"/>
      <c r="J26" s="8"/>
      <c r="K26" s="8"/>
    </row>
    <row r="27" spans="1:11" x14ac:dyDescent="0.3">
      <c r="A27" s="39"/>
      <c r="B27" s="23"/>
      <c r="C27" s="3" t="s">
        <v>4</v>
      </c>
      <c r="D27" s="18"/>
      <c r="E27" s="7">
        <f>IF(D19="Standard",D27-2.813,IF(D19="Bullnose",D27-3.751,IF(D19="Belly",D27-3.844,"")))</f>
        <v>-2.8130000000000002</v>
      </c>
      <c r="F27" s="8"/>
      <c r="G27" s="8"/>
      <c r="H27" s="8"/>
      <c r="I27" s="8"/>
      <c r="J27" s="8"/>
      <c r="K27" s="8"/>
    </row>
    <row r="28" spans="1:11" x14ac:dyDescent="0.3">
      <c r="A28" s="39"/>
      <c r="B28" s="20" t="s">
        <v>9</v>
      </c>
      <c r="C28" s="1" t="s">
        <v>3</v>
      </c>
      <c r="D28" s="17"/>
      <c r="E28" s="13">
        <f>D28-5.626</f>
        <v>-5.6260000000000003</v>
      </c>
      <c r="F28" s="8"/>
      <c r="G28" s="8"/>
      <c r="H28" s="8"/>
      <c r="I28" s="8"/>
      <c r="J28" s="8"/>
      <c r="K28" s="8"/>
    </row>
    <row r="29" spans="1:11" x14ac:dyDescent="0.3">
      <c r="A29" s="39"/>
      <c r="B29" s="21"/>
      <c r="C29" s="1" t="s">
        <v>4</v>
      </c>
      <c r="D29" s="17"/>
      <c r="E29" s="13">
        <f>IF(D19="Standard",D29-3.063,IF(D19="Bullnose",D29-4.001,IF(D19="Belly",D29-4.094,"")))</f>
        <v>-3.0630000000000002</v>
      </c>
      <c r="F29" s="8"/>
      <c r="G29" s="8"/>
      <c r="H29" s="8"/>
      <c r="I29" s="8"/>
      <c r="J29" s="8"/>
      <c r="K29" s="8"/>
    </row>
    <row r="30" spans="1:11" x14ac:dyDescent="0.3">
      <c r="A30" s="39"/>
      <c r="B30" s="22" t="s">
        <v>14</v>
      </c>
      <c r="C30" s="3" t="s">
        <v>3</v>
      </c>
      <c r="D30" s="18"/>
      <c r="E30" s="6">
        <f>D30-7.626</f>
        <v>-7.6260000000000003</v>
      </c>
      <c r="F30" s="8"/>
      <c r="G30" s="8"/>
      <c r="H30" s="8"/>
      <c r="I30" s="8"/>
      <c r="J30" s="8"/>
      <c r="K30" s="8"/>
    </row>
    <row r="31" spans="1:11" x14ac:dyDescent="0.3">
      <c r="A31" s="39"/>
      <c r="B31" s="23"/>
      <c r="C31" s="3" t="s">
        <v>4</v>
      </c>
      <c r="D31" s="18"/>
      <c r="E31" s="6">
        <f>IF(D19="Standard",D31-4.063,IF(D19="Bullnose",D31-5.001,IF(D19="Belly",D31-5.094,"")))</f>
        <v>-4.0629999999999997</v>
      </c>
      <c r="F31" s="8"/>
      <c r="G31" s="8"/>
      <c r="H31" s="8"/>
      <c r="I31" s="8"/>
      <c r="J31" s="8"/>
      <c r="K31" s="8"/>
    </row>
    <row r="32" spans="1:11" x14ac:dyDescent="0.3">
      <c r="A32" s="39"/>
      <c r="B32" s="20" t="s">
        <v>11</v>
      </c>
      <c r="C32" s="1" t="s">
        <v>3</v>
      </c>
      <c r="D32" s="17"/>
      <c r="E32" s="13">
        <f>D32-9.626</f>
        <v>-9.6259999999999994</v>
      </c>
      <c r="F32" s="8"/>
      <c r="G32" s="8"/>
      <c r="H32" s="8"/>
      <c r="I32" s="8"/>
      <c r="J32" s="8"/>
      <c r="K32" s="8"/>
    </row>
    <row r="33" spans="1:11" x14ac:dyDescent="0.3">
      <c r="A33" s="40"/>
      <c r="B33" s="21"/>
      <c r="C33" s="1" t="s">
        <v>4</v>
      </c>
      <c r="D33" s="17"/>
      <c r="E33" s="13">
        <f>IF(D19="Standard",D33-5.063,IF(D19="Bullnose",D33-6.001,IF(D19="Belly",D33-6.094,"")))</f>
        <v>-5.0629999999999997</v>
      </c>
      <c r="F33" s="8"/>
      <c r="G33" s="8"/>
      <c r="H33" s="8"/>
      <c r="I33" s="8"/>
      <c r="J33" s="8"/>
      <c r="K33" s="8"/>
    </row>
    <row r="35" spans="1:11" x14ac:dyDescent="0.3">
      <c r="A35" s="38" t="s">
        <v>16</v>
      </c>
      <c r="B35" s="24" t="s">
        <v>2</v>
      </c>
      <c r="C35" s="25"/>
      <c r="D35" s="26"/>
      <c r="E35" s="41" t="s">
        <v>5</v>
      </c>
      <c r="F35" s="41"/>
      <c r="G35" s="41"/>
      <c r="H35" s="41"/>
      <c r="I35" s="41"/>
      <c r="J35" s="41"/>
      <c r="K35" s="41"/>
    </row>
    <row r="36" spans="1:11" x14ac:dyDescent="0.3">
      <c r="A36" s="39"/>
      <c r="B36" s="27"/>
      <c r="C36" s="28"/>
      <c r="D36" s="29"/>
      <c r="E36" s="11" t="s">
        <v>1</v>
      </c>
      <c r="F36" s="5">
        <v>180</v>
      </c>
      <c r="G36" s="12" t="s">
        <v>10</v>
      </c>
      <c r="H36" s="4" t="s">
        <v>8</v>
      </c>
      <c r="I36" s="13" t="s">
        <v>9</v>
      </c>
      <c r="J36" s="6" t="s">
        <v>14</v>
      </c>
      <c r="K36" s="13" t="s">
        <v>11</v>
      </c>
    </row>
    <row r="37" spans="1:11" x14ac:dyDescent="0.3">
      <c r="A37" s="39"/>
      <c r="B37" s="34" t="s">
        <v>1</v>
      </c>
      <c r="C37" s="1" t="s">
        <v>3</v>
      </c>
      <c r="D37" s="17"/>
      <c r="E37" s="8"/>
      <c r="F37" s="6">
        <f>D37+2</f>
        <v>2</v>
      </c>
      <c r="G37" s="13">
        <f>D37+4</f>
        <v>4</v>
      </c>
      <c r="H37" s="6">
        <f>D37+4.5</f>
        <v>4.5</v>
      </c>
      <c r="I37" s="13">
        <f>D37+5</f>
        <v>5</v>
      </c>
      <c r="J37" s="6">
        <f>D37+7</f>
        <v>7</v>
      </c>
      <c r="K37" s="13">
        <f>D37+9</f>
        <v>9</v>
      </c>
    </row>
    <row r="38" spans="1:11" x14ac:dyDescent="0.3">
      <c r="A38" s="39"/>
      <c r="B38" s="34"/>
      <c r="C38" s="1" t="s">
        <v>4</v>
      </c>
      <c r="D38" s="17"/>
      <c r="E38" s="8"/>
      <c r="F38" s="7">
        <f>$D$38+1</f>
        <v>1</v>
      </c>
      <c r="G38" s="14">
        <f>$D$38+2</f>
        <v>2</v>
      </c>
      <c r="H38" s="7">
        <f>$D$38+2.25</f>
        <v>2.25</v>
      </c>
      <c r="I38" s="14">
        <f>$D$38+2.5</f>
        <v>2.5</v>
      </c>
      <c r="J38" s="7">
        <f>$D$38+3.5</f>
        <v>3.5</v>
      </c>
      <c r="K38" s="14">
        <f>$D$38+4.5</f>
        <v>4.5</v>
      </c>
    </row>
    <row r="39" spans="1:11" x14ac:dyDescent="0.3">
      <c r="A39" s="39"/>
      <c r="B39" s="35">
        <v>180</v>
      </c>
      <c r="C39" s="3" t="s">
        <v>3</v>
      </c>
      <c r="D39" s="18"/>
      <c r="E39" s="6">
        <f>D39-2</f>
        <v>-2</v>
      </c>
      <c r="F39" s="8"/>
      <c r="G39" s="8"/>
      <c r="H39" s="8"/>
      <c r="I39" s="8"/>
      <c r="J39" s="8"/>
      <c r="K39" s="8"/>
    </row>
    <row r="40" spans="1:11" x14ac:dyDescent="0.3">
      <c r="A40" s="39"/>
      <c r="B40" s="35"/>
      <c r="C40" s="3" t="s">
        <v>4</v>
      </c>
      <c r="D40" s="18"/>
      <c r="E40" s="7">
        <f>D40-1</f>
        <v>-1</v>
      </c>
      <c r="F40" s="8"/>
      <c r="G40" s="8"/>
      <c r="H40" s="8"/>
      <c r="I40" s="8"/>
      <c r="J40" s="8"/>
      <c r="K40" s="8"/>
    </row>
    <row r="41" spans="1:11" x14ac:dyDescent="0.3">
      <c r="A41" s="39"/>
      <c r="B41" s="20" t="s">
        <v>10</v>
      </c>
      <c r="C41" s="1" t="s">
        <v>3</v>
      </c>
      <c r="D41" s="17"/>
      <c r="E41" s="13">
        <f>D41-4</f>
        <v>-4</v>
      </c>
      <c r="F41" s="8"/>
      <c r="G41" s="8"/>
      <c r="H41" s="8"/>
      <c r="I41" s="8"/>
      <c r="J41" s="8"/>
      <c r="K41" s="8"/>
    </row>
    <row r="42" spans="1:11" x14ac:dyDescent="0.3">
      <c r="A42" s="39"/>
      <c r="B42" s="21"/>
      <c r="C42" s="1" t="s">
        <v>4</v>
      </c>
      <c r="D42" s="17"/>
      <c r="E42" s="14">
        <f>D42-2</f>
        <v>-2</v>
      </c>
      <c r="F42" s="8"/>
      <c r="G42" s="8"/>
      <c r="H42" s="8"/>
      <c r="I42" s="8"/>
      <c r="J42" s="8"/>
      <c r="K42" s="8"/>
    </row>
    <row r="43" spans="1:11" x14ac:dyDescent="0.3">
      <c r="A43" s="39"/>
      <c r="B43" s="22" t="s">
        <v>8</v>
      </c>
      <c r="C43" s="3" t="s">
        <v>3</v>
      </c>
      <c r="D43" s="18"/>
      <c r="E43" s="6">
        <f>D43-4.5</f>
        <v>-4.5</v>
      </c>
      <c r="F43" s="8"/>
      <c r="G43" s="8"/>
      <c r="H43" s="8"/>
      <c r="I43" s="8"/>
      <c r="J43" s="8"/>
      <c r="K43" s="8"/>
    </row>
    <row r="44" spans="1:11" x14ac:dyDescent="0.3">
      <c r="A44" s="39"/>
      <c r="B44" s="23"/>
      <c r="C44" s="3" t="s">
        <v>4</v>
      </c>
      <c r="D44" s="18"/>
      <c r="E44" s="7">
        <f>D44-2.25</f>
        <v>-2.25</v>
      </c>
      <c r="F44" s="8"/>
      <c r="G44" s="8"/>
      <c r="H44" s="8"/>
      <c r="I44" s="8"/>
      <c r="J44" s="8"/>
      <c r="K44" s="8"/>
    </row>
    <row r="45" spans="1:11" x14ac:dyDescent="0.3">
      <c r="A45" s="39"/>
      <c r="B45" s="20" t="s">
        <v>9</v>
      </c>
      <c r="C45" s="1" t="s">
        <v>3</v>
      </c>
      <c r="D45" s="17"/>
      <c r="E45" s="13">
        <f>D45-5</f>
        <v>-5</v>
      </c>
      <c r="F45" s="8"/>
      <c r="G45" s="8"/>
      <c r="H45" s="8"/>
      <c r="I45" s="8"/>
      <c r="J45" s="8"/>
      <c r="K45" s="8"/>
    </row>
    <row r="46" spans="1:11" x14ac:dyDescent="0.3">
      <c r="A46" s="39"/>
      <c r="B46" s="21"/>
      <c r="C46" s="1" t="s">
        <v>4</v>
      </c>
      <c r="D46" s="17"/>
      <c r="E46" s="13">
        <f>D46-2.5</f>
        <v>-2.5</v>
      </c>
      <c r="F46" s="8"/>
      <c r="G46" s="8"/>
      <c r="H46" s="8"/>
      <c r="I46" s="8"/>
      <c r="J46" s="8"/>
      <c r="K46" s="8"/>
    </row>
    <row r="47" spans="1:11" x14ac:dyDescent="0.3">
      <c r="A47" s="39"/>
      <c r="B47" s="22" t="s">
        <v>14</v>
      </c>
      <c r="C47" s="3" t="s">
        <v>3</v>
      </c>
      <c r="D47" s="18"/>
      <c r="E47" s="6">
        <f>D47-7</f>
        <v>-7</v>
      </c>
      <c r="F47" s="8"/>
      <c r="G47" s="8"/>
      <c r="H47" s="8"/>
      <c r="I47" s="8"/>
      <c r="J47" s="8"/>
      <c r="K47" s="8"/>
    </row>
    <row r="48" spans="1:11" x14ac:dyDescent="0.3">
      <c r="A48" s="39"/>
      <c r="B48" s="23"/>
      <c r="C48" s="3" t="s">
        <v>4</v>
      </c>
      <c r="D48" s="18"/>
      <c r="E48" s="6">
        <f>D48-3.5</f>
        <v>-3.5</v>
      </c>
      <c r="F48" s="8"/>
      <c r="G48" s="8"/>
      <c r="H48" s="8"/>
      <c r="I48" s="8"/>
      <c r="J48" s="8"/>
      <c r="K48" s="8"/>
    </row>
    <row r="49" spans="1:11" x14ac:dyDescent="0.3">
      <c r="A49" s="39"/>
      <c r="B49" s="20" t="s">
        <v>11</v>
      </c>
      <c r="C49" s="1" t="s">
        <v>3</v>
      </c>
      <c r="D49" s="17"/>
      <c r="E49" s="13">
        <f>D49-9</f>
        <v>-9</v>
      </c>
      <c r="F49" s="8"/>
      <c r="G49" s="8"/>
      <c r="H49" s="8"/>
      <c r="I49" s="8"/>
      <c r="J49" s="8"/>
      <c r="K49" s="8"/>
    </row>
    <row r="50" spans="1:11" x14ac:dyDescent="0.3">
      <c r="A50" s="40"/>
      <c r="B50" s="21"/>
      <c r="C50" s="1" t="s">
        <v>4</v>
      </c>
      <c r="D50" s="17"/>
      <c r="E50" s="13">
        <f>D50-4.5</f>
        <v>-4.5</v>
      </c>
      <c r="F50" s="8"/>
      <c r="G50" s="8"/>
      <c r="H50" s="8"/>
      <c r="I50" s="8"/>
      <c r="J50" s="8"/>
      <c r="K50" s="8"/>
    </row>
    <row r="52" spans="1:11" x14ac:dyDescent="0.3">
      <c r="A52" s="38" t="s">
        <v>17</v>
      </c>
      <c r="B52" s="24" t="s">
        <v>2</v>
      </c>
      <c r="C52" s="25"/>
      <c r="D52" s="26"/>
      <c r="E52" s="41" t="s">
        <v>5</v>
      </c>
      <c r="F52" s="41"/>
      <c r="G52" s="41"/>
      <c r="H52" s="41"/>
      <c r="I52" s="41"/>
      <c r="J52" s="41"/>
      <c r="K52" s="41"/>
    </row>
    <row r="53" spans="1:11" x14ac:dyDescent="0.3">
      <c r="A53" s="39"/>
      <c r="B53" s="27"/>
      <c r="C53" s="28"/>
      <c r="D53" s="29"/>
      <c r="E53" s="11" t="s">
        <v>1</v>
      </c>
      <c r="F53" s="5">
        <v>180</v>
      </c>
      <c r="G53" s="12" t="s">
        <v>10</v>
      </c>
      <c r="H53" s="4" t="s">
        <v>8</v>
      </c>
      <c r="I53" s="13" t="s">
        <v>9</v>
      </c>
      <c r="J53" s="6" t="s">
        <v>14</v>
      </c>
      <c r="K53" s="13" t="s">
        <v>11</v>
      </c>
    </row>
    <row r="54" spans="1:11" x14ac:dyDescent="0.3">
      <c r="A54" s="39"/>
      <c r="B54" s="34" t="s">
        <v>1</v>
      </c>
      <c r="C54" s="1" t="s">
        <v>3</v>
      </c>
      <c r="D54" s="17"/>
      <c r="E54" s="8"/>
      <c r="F54" s="6">
        <f>D54+2.5</f>
        <v>2.5</v>
      </c>
      <c r="G54" s="13">
        <f>D54+4.5</f>
        <v>4.5</v>
      </c>
      <c r="H54" s="6">
        <f>D54+5</f>
        <v>5</v>
      </c>
      <c r="I54" s="13">
        <f>D54+5.5</f>
        <v>5.5</v>
      </c>
      <c r="J54" s="6">
        <f>D54+7.5</f>
        <v>7.5</v>
      </c>
      <c r="K54" s="13">
        <f>D54+9.5</f>
        <v>9.5</v>
      </c>
    </row>
    <row r="55" spans="1:11" x14ac:dyDescent="0.3">
      <c r="A55" s="39"/>
      <c r="B55" s="34"/>
      <c r="C55" s="1" t="s">
        <v>4</v>
      </c>
      <c r="D55" s="17"/>
      <c r="E55" s="8"/>
      <c r="F55" s="7">
        <f>$D55+1.25</f>
        <v>1.25</v>
      </c>
      <c r="G55" s="14">
        <f>$D55+2.25</f>
        <v>2.25</v>
      </c>
      <c r="H55" s="7">
        <f>$D55+2.5</f>
        <v>2.5</v>
      </c>
      <c r="I55" s="14">
        <f>$D55+2.75</f>
        <v>2.75</v>
      </c>
      <c r="J55" s="7">
        <f>$D55+3.75</f>
        <v>3.75</v>
      </c>
      <c r="K55" s="14">
        <f>$D55+4.75</f>
        <v>4.75</v>
      </c>
    </row>
    <row r="56" spans="1:11" x14ac:dyDescent="0.3">
      <c r="A56" s="39"/>
      <c r="B56" s="35">
        <v>180</v>
      </c>
      <c r="C56" s="3" t="s">
        <v>3</v>
      </c>
      <c r="D56" s="18"/>
      <c r="E56" s="6">
        <f>D56-2.5</f>
        <v>-2.5</v>
      </c>
      <c r="F56" s="8"/>
      <c r="G56" s="8"/>
      <c r="H56" s="8"/>
      <c r="I56" s="8"/>
      <c r="J56" s="8"/>
      <c r="K56" s="8"/>
    </row>
    <row r="57" spans="1:11" x14ac:dyDescent="0.3">
      <c r="A57" s="39"/>
      <c r="B57" s="35"/>
      <c r="C57" s="3" t="s">
        <v>4</v>
      </c>
      <c r="D57" s="18"/>
      <c r="E57" s="7">
        <f>D57-1.25</f>
        <v>-1.25</v>
      </c>
      <c r="F57" s="8"/>
      <c r="G57" s="8"/>
      <c r="H57" s="8"/>
      <c r="I57" s="8"/>
      <c r="J57" s="8"/>
      <c r="K57" s="8"/>
    </row>
    <row r="58" spans="1:11" x14ac:dyDescent="0.3">
      <c r="A58" s="39"/>
      <c r="B58" s="20" t="s">
        <v>10</v>
      </c>
      <c r="C58" s="1" t="s">
        <v>3</v>
      </c>
      <c r="D58" s="17"/>
      <c r="E58" s="13">
        <f>D58-4.5</f>
        <v>-4.5</v>
      </c>
      <c r="F58" s="8"/>
      <c r="G58" s="8"/>
      <c r="H58" s="8"/>
      <c r="I58" s="8"/>
      <c r="J58" s="8"/>
      <c r="K58" s="8"/>
    </row>
    <row r="59" spans="1:11" x14ac:dyDescent="0.3">
      <c r="A59" s="39"/>
      <c r="B59" s="21"/>
      <c r="C59" s="1" t="s">
        <v>4</v>
      </c>
      <c r="D59" s="17"/>
      <c r="E59" s="14">
        <f>D59-2.25</f>
        <v>-2.25</v>
      </c>
      <c r="F59" s="8"/>
      <c r="G59" s="8"/>
      <c r="H59" s="8"/>
      <c r="I59" s="8"/>
      <c r="J59" s="8"/>
      <c r="K59" s="8"/>
    </row>
    <row r="60" spans="1:11" x14ac:dyDescent="0.3">
      <c r="A60" s="39"/>
      <c r="B60" s="22" t="s">
        <v>8</v>
      </c>
      <c r="C60" s="3" t="s">
        <v>3</v>
      </c>
      <c r="D60" s="18"/>
      <c r="E60" s="6">
        <f>D60-5</f>
        <v>-5</v>
      </c>
      <c r="F60" s="8"/>
      <c r="G60" s="8"/>
      <c r="H60" s="8"/>
      <c r="I60" s="8"/>
      <c r="J60" s="8"/>
      <c r="K60" s="8"/>
    </row>
    <row r="61" spans="1:11" x14ac:dyDescent="0.3">
      <c r="A61" s="39"/>
      <c r="B61" s="23"/>
      <c r="C61" s="3" t="s">
        <v>4</v>
      </c>
      <c r="D61" s="18"/>
      <c r="E61" s="7">
        <f>D61-2.5</f>
        <v>-2.5</v>
      </c>
      <c r="F61" s="8"/>
      <c r="G61" s="8"/>
      <c r="H61" s="8"/>
      <c r="I61" s="8"/>
      <c r="J61" s="8"/>
      <c r="K61" s="8"/>
    </row>
    <row r="62" spans="1:11" x14ac:dyDescent="0.3">
      <c r="A62" s="39"/>
      <c r="B62" s="20" t="s">
        <v>9</v>
      </c>
      <c r="C62" s="1" t="s">
        <v>3</v>
      </c>
      <c r="D62" s="17"/>
      <c r="E62" s="13">
        <f>D62-5.5</f>
        <v>-5.5</v>
      </c>
      <c r="F62" s="8"/>
      <c r="G62" s="8"/>
      <c r="H62" s="8"/>
      <c r="I62" s="8"/>
      <c r="J62" s="8"/>
      <c r="K62" s="8"/>
    </row>
    <row r="63" spans="1:11" x14ac:dyDescent="0.3">
      <c r="A63" s="39"/>
      <c r="B63" s="21"/>
      <c r="C63" s="1" t="s">
        <v>4</v>
      </c>
      <c r="D63" s="17"/>
      <c r="E63" s="13">
        <f>D63-2.75</f>
        <v>-2.75</v>
      </c>
      <c r="F63" s="8"/>
      <c r="G63" s="8"/>
      <c r="H63" s="8"/>
      <c r="I63" s="8"/>
      <c r="J63" s="8"/>
      <c r="K63" s="8"/>
    </row>
    <row r="64" spans="1:11" x14ac:dyDescent="0.3">
      <c r="A64" s="39"/>
      <c r="B64" s="22" t="s">
        <v>14</v>
      </c>
      <c r="C64" s="3" t="s">
        <v>3</v>
      </c>
      <c r="D64" s="18"/>
      <c r="E64" s="6">
        <f>D64-7.5</f>
        <v>-7.5</v>
      </c>
      <c r="F64" s="8"/>
      <c r="G64" s="8"/>
      <c r="H64" s="8"/>
      <c r="I64" s="8"/>
      <c r="J64" s="8"/>
      <c r="K64" s="8"/>
    </row>
    <row r="65" spans="1:11" x14ac:dyDescent="0.3">
      <c r="A65" s="39"/>
      <c r="B65" s="23"/>
      <c r="C65" s="3" t="s">
        <v>4</v>
      </c>
      <c r="D65" s="18"/>
      <c r="E65" s="6">
        <f>D65-3.75</f>
        <v>-3.75</v>
      </c>
      <c r="F65" s="8"/>
      <c r="G65" s="8"/>
      <c r="H65" s="8"/>
      <c r="I65" s="8"/>
      <c r="J65" s="8"/>
      <c r="K65" s="8"/>
    </row>
    <row r="66" spans="1:11" x14ac:dyDescent="0.3">
      <c r="A66" s="39"/>
      <c r="B66" s="20" t="s">
        <v>11</v>
      </c>
      <c r="C66" s="1" t="s">
        <v>3</v>
      </c>
      <c r="D66" s="17"/>
      <c r="E66" s="13">
        <f>D66-9.5</f>
        <v>-9.5</v>
      </c>
      <c r="F66" s="8"/>
      <c r="G66" s="8"/>
      <c r="H66" s="8"/>
      <c r="I66" s="8"/>
      <c r="J66" s="8"/>
      <c r="K66" s="8"/>
    </row>
    <row r="67" spans="1:11" x14ac:dyDescent="0.3">
      <c r="A67" s="40"/>
      <c r="B67" s="21"/>
      <c r="C67" s="1" t="s">
        <v>4</v>
      </c>
      <c r="D67" s="17"/>
      <c r="E67" s="13">
        <f>D67-4.75</f>
        <v>-4.75</v>
      </c>
      <c r="F67" s="8"/>
      <c r="G67" s="8"/>
      <c r="H67" s="8"/>
      <c r="I67" s="8"/>
      <c r="J67" s="8"/>
      <c r="K67" s="8"/>
    </row>
  </sheetData>
  <sheetProtection sheet="1" objects="1" scenarios="1"/>
  <mergeCells count="42">
    <mergeCell ref="E1:K1"/>
    <mergeCell ref="A18:A33"/>
    <mergeCell ref="B18:D18"/>
    <mergeCell ref="B11:B12"/>
    <mergeCell ref="B13:B14"/>
    <mergeCell ref="B15:B16"/>
    <mergeCell ref="A1:A16"/>
    <mergeCell ref="B24:B25"/>
    <mergeCell ref="B26:B27"/>
    <mergeCell ref="B28:B29"/>
    <mergeCell ref="B30:B31"/>
    <mergeCell ref="B1:D1"/>
    <mergeCell ref="B2:C2"/>
    <mergeCell ref="B3:B4"/>
    <mergeCell ref="B5:B6"/>
    <mergeCell ref="B7:B8"/>
    <mergeCell ref="B9:B10"/>
    <mergeCell ref="E18:K18"/>
    <mergeCell ref="B19:C19"/>
    <mergeCell ref="B20:B21"/>
    <mergeCell ref="B22:B23"/>
    <mergeCell ref="B32:B33"/>
    <mergeCell ref="E35:K35"/>
    <mergeCell ref="B37:B38"/>
    <mergeCell ref="B39:B40"/>
    <mergeCell ref="B41:B42"/>
    <mergeCell ref="B43:B44"/>
    <mergeCell ref="E52:K52"/>
    <mergeCell ref="B54:B55"/>
    <mergeCell ref="B56:B57"/>
    <mergeCell ref="B58:B59"/>
    <mergeCell ref="B60:B61"/>
    <mergeCell ref="B64:B65"/>
    <mergeCell ref="B66:B67"/>
    <mergeCell ref="B49:B50"/>
    <mergeCell ref="B35:D36"/>
    <mergeCell ref="A52:A67"/>
    <mergeCell ref="B52:D53"/>
    <mergeCell ref="B62:B63"/>
    <mergeCell ref="A35:A50"/>
    <mergeCell ref="B45:B46"/>
    <mergeCell ref="B47:B48"/>
  </mergeCells>
  <dataValidations count="2">
    <dataValidation type="list" allowBlank="1" showInputMessage="1" showErrorMessage="1" sqref="D2">
      <formula1>"Standard,Bullnose"</formula1>
    </dataValidation>
    <dataValidation type="list" allowBlank="1" showInputMessage="1" showErrorMessage="1" sqref="D19">
      <formula1>"Standard,Bullnose,Belly"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Pinnacle Clad</vt:lpstr>
      <vt:lpstr>Pinnacle Primed</vt:lpstr>
    </vt:vector>
  </TitlesOfParts>
  <Company>Woodgrain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Kriegel, Colby</dc:creator>
  <cp:lastModifiedBy>Weber, Phil</cp:lastModifiedBy>
  <dcterms:created xsi:type="dcterms:W3CDTF">2020-09-10T19:06:11Z</dcterms:created>
  <dcterms:modified xsi:type="dcterms:W3CDTF">2020-09-24T13:40:44Z</dcterms:modified>
</cp:coreProperties>
</file>